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tabRatio="733" activeTab="0"/>
  </bookViews>
  <sheets>
    <sheet name="Publicar" sheetId="1" r:id="rId1"/>
  </sheets>
  <definedNames>
    <definedName name="_xlnm.Print_Area" localSheetId="0">'Publicar'!$B$4:$D$96</definedName>
    <definedName name="_xlnm.Print_Titles" localSheetId="0">'Publicar'!$1:$3</definedName>
  </definedNames>
  <calcPr fullCalcOnLoad="1"/>
</workbook>
</file>

<file path=xl/sharedStrings.xml><?xml version="1.0" encoding="utf-8"?>
<sst xmlns="http://schemas.openxmlformats.org/spreadsheetml/2006/main" count="96" uniqueCount="86">
  <si>
    <t>Inventario (Materiales, Suministros, etc.)</t>
  </si>
  <si>
    <t>Pagos por Anticipado</t>
  </si>
  <si>
    <t>BALANCE GENERAL</t>
  </si>
  <si>
    <t>ACTIVO</t>
  </si>
  <si>
    <t>PATRIMONIO</t>
  </si>
  <si>
    <t>COSTO DE VENTAS</t>
  </si>
  <si>
    <t>PASIVO</t>
  </si>
  <si>
    <t>INGRESOS</t>
  </si>
  <si>
    <t>TOTAL ACTIVO CORRIENTE</t>
  </si>
  <si>
    <t>TOTAL ACTIVO NO CORRIENTE</t>
  </si>
  <si>
    <t>Cuentas por Pagar Empresas Relacionadas</t>
  </si>
  <si>
    <t>Obligaciones Emisión de Títulosvalores</t>
  </si>
  <si>
    <t>TOTAL PASIVO CORRIENTE</t>
  </si>
  <si>
    <t>Depósitos de Consumidores</t>
  </si>
  <si>
    <t>TOTAL PASIVO NO CORRIENTE</t>
  </si>
  <si>
    <t>TOTAL DE ACTIVO</t>
  </si>
  <si>
    <t>TOTAL DE PASIVO</t>
  </si>
  <si>
    <t>Interés Minoritario o Socios Externos</t>
  </si>
  <si>
    <t>Capital Social</t>
  </si>
  <si>
    <t>Reserva Legal</t>
  </si>
  <si>
    <t>Reserva Estatutaria o Voluntaria</t>
  </si>
  <si>
    <t>Superávit por Acciones</t>
  </si>
  <si>
    <t>TOTAL PATRIMONIO</t>
  </si>
  <si>
    <t>TOTAL PASIVO MÁS PATRIMONIO</t>
  </si>
  <si>
    <t>ESTADO DE RESULTADOS</t>
  </si>
  <si>
    <t>Otros Ingresos</t>
  </si>
  <si>
    <t>Menos</t>
  </si>
  <si>
    <t>Gastos de Operación</t>
  </si>
  <si>
    <t>Gastos de Administración</t>
  </si>
  <si>
    <t>Gastos Financieros</t>
  </si>
  <si>
    <t>Otros Gastos</t>
  </si>
  <si>
    <t>Interés Minoritario</t>
  </si>
  <si>
    <t>Impuestos</t>
  </si>
  <si>
    <t>RAZONES FINANCIERAS</t>
  </si>
  <si>
    <t>LIQUIDEZ</t>
  </si>
  <si>
    <t>Activo Corriente / Pasivo Corriente</t>
  </si>
  <si>
    <t>ENDEUDAMIENTO (VECES)</t>
  </si>
  <si>
    <t>RENTABILIDAD O PÉRDIDA DEL PATRIMONIO</t>
  </si>
  <si>
    <t>Utilidad del Ejercicio / Patrimonio-Utilidad del Ejercicio</t>
  </si>
  <si>
    <t>Pasivo Total / Patrimonio</t>
  </si>
  <si>
    <t>RENTABILIDAD O PÉRDIDA DEL ACTIVO</t>
  </si>
  <si>
    <t>Utilidad del Ejercicio / Activo Total</t>
  </si>
  <si>
    <t>RENTABILIDAD O PÉRDIDA DEL CAPITAL SOCIAL</t>
  </si>
  <si>
    <t>(Utilidad o Pérdida Neta / Capital Social ) Del período</t>
  </si>
  <si>
    <t xml:space="preserve">Utilidad o Pérdida Acumulada / Capital Social </t>
  </si>
  <si>
    <t>VALOR NOMINAL DE LAS ACCIONES ($)</t>
  </si>
  <si>
    <t>VALOR CONTABLE DE LAS ACCIONES ($)</t>
  </si>
  <si>
    <t>ACTIVO CORRIENTE</t>
  </si>
  <si>
    <t>ACTIVO NO CORRIENTE</t>
  </si>
  <si>
    <t>PASIVO CORRIENTE</t>
  </si>
  <si>
    <t>PASIVO NO CORRIENTE</t>
  </si>
  <si>
    <t>(En miles de Dólares de Estados Unidos de América)</t>
  </si>
  <si>
    <t>Gastos de Distribución</t>
  </si>
  <si>
    <t>Inversiones</t>
  </si>
  <si>
    <t>Efectivo y Equivalentes de Efectivo</t>
  </si>
  <si>
    <t>Activos biológicos</t>
  </si>
  <si>
    <t>Otros Activos financieros</t>
  </si>
  <si>
    <t>Activos intangibles</t>
  </si>
  <si>
    <t>Propiedades de Inversión</t>
  </si>
  <si>
    <t>Deudores comerciales y Otras Cuentas por Cobrar (Netos)</t>
  </si>
  <si>
    <t>Acreedores comerciales y Otras Cuentas por Pagar</t>
  </si>
  <si>
    <t>Préstamos de Corto Plazo</t>
  </si>
  <si>
    <t>Porción de los Préstamos a Largo Plazo con vencimiento a corto plazo</t>
  </si>
  <si>
    <t>Provisiones</t>
  </si>
  <si>
    <t>Impuestos Diferidos</t>
  </si>
  <si>
    <t>Impuestos Corrientes</t>
  </si>
  <si>
    <t>Otros Pasivos Financieros</t>
  </si>
  <si>
    <t xml:space="preserve">Capital Adicional </t>
  </si>
  <si>
    <t>Préstamos y Otras Obligaciones Financieras</t>
  </si>
  <si>
    <t>Resultados Acumulados</t>
  </si>
  <si>
    <t>Resultado del Período</t>
  </si>
  <si>
    <t>Ingresos Ordinarios</t>
  </si>
  <si>
    <t>RESULTADO BRUTO</t>
  </si>
  <si>
    <t>Gastos de Personal</t>
  </si>
  <si>
    <t>Gastos de Depreciación y Amortización</t>
  </si>
  <si>
    <t>RESULTADO DE OPERACIÓN</t>
  </si>
  <si>
    <t>Ingresos Financieros</t>
  </si>
  <si>
    <t>Más ó Menos</t>
  </si>
  <si>
    <t>RESULTADO ANTES DE RESERVA E IMPUESTOS</t>
  </si>
  <si>
    <t>RESULTADO DEL PERÍODO</t>
  </si>
  <si>
    <t>Cuentas por cobrar Empresas Relacionadas</t>
  </si>
  <si>
    <t>Propiedades, Planta y Equipo  (Neto)</t>
  </si>
  <si>
    <t xml:space="preserve">Cuentas por cobrar a LP </t>
  </si>
  <si>
    <t>Reservas por Valuaciones</t>
  </si>
  <si>
    <t>CREDIQ, S.A. DE C.V.</t>
  </si>
  <si>
    <t>CIFRAS  AL 31 DE MARZO DE 2012 Y 2011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</si>
</sst>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_(* #,##0.0_);_(* \(#,##0.0\);_(* &quot;-&quot;??_);_(@_)"/>
    <numFmt numFmtId="166" formatCode="_(* #,##0_);_(* \(#,##0\);_(* &quot;-&quot;??_);_(@_)"/>
    <numFmt numFmtId="167" formatCode="0.00000000"/>
    <numFmt numFmtId="168" formatCode="0.0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_(* #,##0.00000_);_(* \(#,##0.00000\);_(* &quot;-&quot;?????_);_(@_)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_(* #,##0.000000_);_(* \(#,##0.000000\);_(* &quot;-&quot;??????_);_(@_)"/>
    <numFmt numFmtId="181" formatCode="0.0%"/>
    <numFmt numFmtId="182" formatCode="_(* #,##0.0000000_);_(* \(#,##0.0000000\);_(* &quot;-&quot;??_);_(@_)"/>
    <numFmt numFmtId="183" formatCode="_(* #,##0.000_);_(* \(#,##0.000\);_(* &quot;-&quot;???_);_(@_)"/>
    <numFmt numFmtId="184" formatCode="_(* #,##0.0000_);_(* \(#,##0.0000\);_(* &quot;-&quot;????_);_(@_)"/>
    <numFmt numFmtId="185" formatCode="0.000%"/>
    <numFmt numFmtId="186" formatCode="0.00_)"/>
    <numFmt numFmtId="187" formatCode="0.0000%"/>
    <numFmt numFmtId="188" formatCode="_(* #,##0.0_);_(* \(#,##0.0\);_(* &quot;-&quot;?_);_(@_)"/>
    <numFmt numFmtId="189" formatCode="0.0000000000"/>
    <numFmt numFmtId="190" formatCode="0.00000000000"/>
    <numFmt numFmtId="191" formatCode="0.000000000000"/>
    <numFmt numFmtId="192" formatCode="#,##0.00000_);\(#,##0.00000\)"/>
    <numFmt numFmtId="193" formatCode="0.00_);\(0.00\)"/>
    <numFmt numFmtId="194" formatCode="#,##0.0_);\(#,##0.0\)"/>
    <numFmt numFmtId="195" formatCode="_(* #,##0.00000000_);_(* \(#,##0.00000000\);_(* &quot;-&quot;??_);_(@_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4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2"/>
      <color indexed="14"/>
      <name val="Arial"/>
      <family val="2"/>
    </font>
    <font>
      <b/>
      <sz val="16"/>
      <color indexed="9"/>
      <name val="Arial"/>
      <family val="2"/>
    </font>
    <font>
      <b/>
      <sz val="16"/>
      <color indexed="6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2"/>
      <color indexed="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14"/>
      </right>
      <top style="thin"/>
      <bottom style="thin"/>
    </border>
    <border>
      <left style="thin">
        <color indexed="14"/>
      </left>
      <right style="thin">
        <color indexed="14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43" fontId="0" fillId="0" borderId="0" xfId="49" applyFont="1" applyAlignment="1">
      <alignment vertical="center"/>
    </xf>
    <xf numFmtId="166" fontId="0" fillId="0" borderId="0" xfId="49" applyNumberFormat="1" applyFont="1" applyAlignment="1">
      <alignment vertical="center"/>
    </xf>
    <xf numFmtId="166" fontId="2" fillId="0" borderId="0" xfId="49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166" fontId="10" fillId="0" borderId="10" xfId="49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vertical="center"/>
    </xf>
    <xf numFmtId="0" fontId="0" fillId="0" borderId="0" xfId="0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66" fontId="0" fillId="0" borderId="0" xfId="0" applyNumberFormat="1" applyFont="1" applyAlignment="1">
      <alignment vertical="center"/>
    </xf>
    <xf numFmtId="166" fontId="0" fillId="0" borderId="0" xfId="49" applyNumberFormat="1" applyFont="1" applyAlignment="1">
      <alignment vertical="center"/>
    </xf>
    <xf numFmtId="166" fontId="12" fillId="0" borderId="10" xfId="49" applyNumberFormat="1" applyFont="1" applyBorder="1" applyAlignment="1">
      <alignment horizontal="right" vertical="center"/>
    </xf>
    <xf numFmtId="0" fontId="12" fillId="0" borderId="10" xfId="0" applyFont="1" applyBorder="1" applyAlignment="1">
      <alignment vertical="center"/>
    </xf>
    <xf numFmtId="166" fontId="10" fillId="0" borderId="10" xfId="49" applyNumberFormat="1" applyFont="1" applyBorder="1" applyAlignment="1">
      <alignment horizontal="right" vertical="center"/>
    </xf>
    <xf numFmtId="166" fontId="9" fillId="0" borderId="10" xfId="49" applyNumberFormat="1" applyFont="1" applyBorder="1" applyAlignment="1">
      <alignment horizontal="right" vertical="center"/>
    </xf>
    <xf numFmtId="43" fontId="10" fillId="0" borderId="10" xfId="49" applyNumberFormat="1" applyFont="1" applyBorder="1" applyAlignment="1">
      <alignment vertical="center"/>
    </xf>
    <xf numFmtId="176" fontId="10" fillId="0" borderId="11" xfId="49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43" fontId="2" fillId="0" borderId="0" xfId="0" applyNumberFormat="1" applyFont="1" applyAlignment="1">
      <alignment vertical="center"/>
    </xf>
    <xf numFmtId="166" fontId="9" fillId="34" borderId="10" xfId="49" applyNumberFormat="1" applyFont="1" applyFill="1" applyBorder="1" applyAlignment="1">
      <alignment horizontal="right" vertical="center"/>
    </xf>
    <xf numFmtId="166" fontId="10" fillId="0" borderId="10" xfId="49" applyNumberFormat="1" applyFont="1" applyFill="1" applyBorder="1" applyAlignment="1">
      <alignment vertical="center"/>
    </xf>
    <xf numFmtId="166" fontId="10" fillId="0" borderId="10" xfId="49" applyNumberFormat="1" applyFont="1" applyFill="1" applyBorder="1" applyAlignment="1">
      <alignment horizontal="right" vertical="center"/>
    </xf>
    <xf numFmtId="166" fontId="9" fillId="0" borderId="10" xfId="49" applyNumberFormat="1" applyFont="1" applyFill="1" applyBorder="1" applyAlignment="1">
      <alignment horizontal="right" vertical="center"/>
    </xf>
    <xf numFmtId="166" fontId="0" fillId="0" borderId="0" xfId="0" applyNumberForma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DF7E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30</xdr:row>
      <xdr:rowOff>38100</xdr:rowOff>
    </xdr:from>
    <xdr:to>
      <xdr:col>4</xdr:col>
      <xdr:colOff>0</xdr:colOff>
      <xdr:row>66</xdr:row>
      <xdr:rowOff>66675</xdr:rowOff>
    </xdr:to>
    <xdr:sp>
      <xdr:nvSpPr>
        <xdr:cNvPr id="1" name="Rectangle 4"/>
        <xdr:cNvSpPr>
          <a:spLocks/>
        </xdr:cNvSpPr>
      </xdr:nvSpPr>
      <xdr:spPr>
        <a:xfrm>
          <a:off x="7781925" y="8201025"/>
          <a:ext cx="0" cy="9972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BALANCE GENERAL, BALANCE DE COMPROBACIÓN O DE SITUACIÓN: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Muestra el equilibrio ante el total de activos (recursos) y la suma de pasivo y capital (obligaciones y patrimonio). La presentación se hace atendiendo el grado de realización y exigibilidad, así: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ACTIVO CORRIENTE: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Recursos de mayor grado de disponibilidad o realización a un año plazo.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ACTIVO NO CORRIENTE: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Recursos que presentan menor grado de disponibilidad o realización a más de un año plazo.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PASIVO CORRIENTE: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Obligaciones exigibles a corto plazo, un año.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PASIVO NO CORRIENTE: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Obligaciones que tienen un menor grado de exigibilidad, cuyo vencimiento supera el término de un año.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PATRIMONIO: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Representa la inversión inicial de los accionistas, más el crecimiento generado en el tiempo.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 CONTABLE DE LAS ACCIONES: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 el Patrimonio Total dividido entre la cantidad de acciones que representan el capital social, ó el Patrimonio Total dividido entre el Capital Social y multiplicados por el Valor Nominal por acción. Es un valor de referencia comparable con la inversión inicial del accionista, el valor nominal y el de mercado.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RESULTADOS: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Muestra en forma ordenada y sistemática, los ingresos, costos y gastos de una entidad en un período, obtenidos de las operaciones realizadas, mostrando el efecto positivo (utilidad) o negativo (pérdida).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RAZONES FINANCIERAS: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interpretación debe realizarse de acuerdo al sector al que pertenece la empresa.</a:t>
          </a:r>
        </a:p>
      </xdr:txBody>
    </xdr:sp>
    <xdr:clientData/>
  </xdr:twoCellAnchor>
  <xdr:twoCellAnchor>
    <xdr:from>
      <xdr:col>4</xdr:col>
      <xdr:colOff>0</xdr:colOff>
      <xdr:row>69</xdr:row>
      <xdr:rowOff>19050</xdr:rowOff>
    </xdr:from>
    <xdr:to>
      <xdr:col>4</xdr:col>
      <xdr:colOff>0</xdr:colOff>
      <xdr:row>94</xdr:row>
      <xdr:rowOff>180975</xdr:rowOff>
    </xdr:to>
    <xdr:sp>
      <xdr:nvSpPr>
        <xdr:cNvPr id="2" name="Rectangle 5"/>
        <xdr:cNvSpPr>
          <a:spLocks/>
        </xdr:cNvSpPr>
      </xdr:nvSpPr>
      <xdr:spPr>
        <a:xfrm>
          <a:off x="7781925" y="18954750"/>
          <a:ext cx="0" cy="7067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 CIFRAS SE HAN TOMADO DE LOS ESTADOS FINANCIEROS REMITIDOS A ESTA SUPERINTENDENCIA POR LOS EMISORES DE VALORES.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 LA FECHA, LA CLASE DE VALORES QUE ESTÁN REGISTRADOS Y QUE PUEDEN NEGOCIARSE SON: TÍTULOS DE PARTICIPACIÓN-ACCIONES Y TÍTULOS DE DEUDA.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LOS BANCOS PRIVADOS TIENEN REGISTRADOS TÍTULOS DE DEUDA Y SUS ACCIONES, CUYOS ESTADOS FINANCIEROS SON PUBLICADOS POR LAS MISMAS INSTITUCIONES.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ESTA INFORMACIÓN: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ES LA ÚNICA HERRAMIENTA PARA TOMAR LA DECISIÓN DE INVERTIR.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ES INDICADOR DE LA CALIFICACIÓN DE LA CALIDAD DE LOS TÍTULOS VALORES EN CIRCULACIÓN, NI DE LA SOLVENCIA DE SUS EMISORES.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showGridLines="0" tabSelected="1" zoomScale="85" zoomScaleNormal="85" zoomScaleSheetLayoutView="55" zoomScalePageLayoutView="0" workbookViewId="0" topLeftCell="A52">
      <selection activeCell="A1" sqref="A1"/>
    </sheetView>
  </sheetViews>
  <sheetFormatPr defaultColWidth="0" defaultRowHeight="12.75" zeroHeight="1"/>
  <cols>
    <col min="1" max="1" width="3.140625" style="0" customWidth="1"/>
    <col min="2" max="2" width="77.57421875" style="0" bestFit="1" customWidth="1"/>
    <col min="3" max="3" width="18.00390625" style="0" bestFit="1" customWidth="1"/>
    <col min="4" max="4" width="18.00390625" style="0" customWidth="1"/>
    <col min="5" max="5" width="13.00390625" style="0" customWidth="1"/>
    <col min="6" max="6" width="11.421875" style="0" customWidth="1"/>
    <col min="7" max="16384" width="0" style="0" hidden="1" customWidth="1"/>
  </cols>
  <sheetData>
    <row r="1" spans="2:5" ht="20.25">
      <c r="B1" s="38" t="s">
        <v>84</v>
      </c>
      <c r="C1" s="38"/>
      <c r="D1" s="38"/>
      <c r="E1" s="16"/>
    </row>
    <row r="2" spans="2:5" ht="19.5" customHeight="1">
      <c r="B2" s="37" t="s">
        <v>85</v>
      </c>
      <c r="C2" s="37"/>
      <c r="D2" s="37"/>
      <c r="E2" s="27"/>
    </row>
    <row r="3" spans="2:5" s="1" customFormat="1" ht="20.25">
      <c r="B3" s="37" t="s">
        <v>51</v>
      </c>
      <c r="C3" s="37"/>
      <c r="D3" s="37"/>
      <c r="E3" s="28"/>
    </row>
    <row r="4" spans="2:4" s="9" customFormat="1" ht="19.5" customHeight="1">
      <c r="B4" s="29" t="s">
        <v>2</v>
      </c>
      <c r="C4" s="30">
        <v>2012</v>
      </c>
      <c r="D4" s="30">
        <v>2011</v>
      </c>
    </row>
    <row r="5" spans="2:4" s="9" customFormat="1" ht="19.5" customHeight="1">
      <c r="B5" s="10" t="s">
        <v>3</v>
      </c>
      <c r="C5" s="17"/>
      <c r="D5" s="17"/>
    </row>
    <row r="6" spans="1:4" s="3" customFormat="1" ht="21.75" customHeight="1">
      <c r="A6" s="2"/>
      <c r="B6" s="12" t="s">
        <v>47</v>
      </c>
      <c r="C6" s="11"/>
      <c r="D6" s="11"/>
    </row>
    <row r="7" spans="1:4" s="3" customFormat="1" ht="21.75" customHeight="1">
      <c r="A7" s="2"/>
      <c r="B7" s="13" t="s">
        <v>54</v>
      </c>
      <c r="C7" s="33">
        <f>3070750.1/1000</f>
        <v>3070.7501</v>
      </c>
      <c r="D7" s="33">
        <f>4836840.43/1000</f>
        <v>4836.840429999999</v>
      </c>
    </row>
    <row r="8" spans="1:4" s="3" customFormat="1" ht="21.75" customHeight="1">
      <c r="A8" s="2"/>
      <c r="B8" s="13" t="s">
        <v>59</v>
      </c>
      <c r="C8" s="23">
        <f>(1610038.56+17319485.53+64320.11-235873.78)/1000</f>
        <v>18757.970419999998</v>
      </c>
      <c r="D8" s="23">
        <f>(17572509.4+1997551.14-287702.22)/1000</f>
        <v>19282.35832</v>
      </c>
    </row>
    <row r="9" spans="1:4" s="3" customFormat="1" ht="21.75" customHeight="1">
      <c r="A9" s="2"/>
      <c r="B9" s="13" t="s">
        <v>80</v>
      </c>
      <c r="C9" s="34">
        <f>108450.69/1000</f>
        <v>108.45069000000001</v>
      </c>
      <c r="D9" s="34">
        <f>207096.9/1000</f>
        <v>207.0969</v>
      </c>
    </row>
    <row r="10" spans="1:4" s="3" customFormat="1" ht="21.75" customHeight="1">
      <c r="A10" s="2"/>
      <c r="B10" s="13" t="s">
        <v>53</v>
      </c>
      <c r="C10" s="34">
        <f>(50000)/1000</f>
        <v>50</v>
      </c>
      <c r="D10" s="34">
        <f>(50000)/1000</f>
        <v>50</v>
      </c>
    </row>
    <row r="11" spans="1:4" s="3" customFormat="1" ht="21.75" customHeight="1">
      <c r="A11" s="2"/>
      <c r="B11" s="13" t="s">
        <v>0</v>
      </c>
      <c r="C11" s="34">
        <f>+(123980.91)/1000</f>
        <v>123.98091000000001</v>
      </c>
      <c r="D11" s="34">
        <f>+(184974.93+5421)/1000</f>
        <v>190.39593</v>
      </c>
    </row>
    <row r="12" spans="1:4" s="3" customFormat="1" ht="21.75" customHeight="1">
      <c r="A12" s="2"/>
      <c r="B12" s="13" t="s">
        <v>1</v>
      </c>
      <c r="C12" s="34">
        <f>418426.2/1000</f>
        <v>418.4262</v>
      </c>
      <c r="D12" s="34">
        <f>468317.04/1000</f>
        <v>468.31703999999996</v>
      </c>
    </row>
    <row r="13" spans="1:4" s="3" customFormat="1" ht="21.75" customHeight="1">
      <c r="A13" s="2"/>
      <c r="B13" s="13" t="s">
        <v>55</v>
      </c>
      <c r="C13" s="34">
        <v>0</v>
      </c>
      <c r="D13" s="34">
        <v>0</v>
      </c>
    </row>
    <row r="14" spans="1:4" s="3" customFormat="1" ht="21.75" customHeight="1">
      <c r="A14" s="2"/>
      <c r="B14" s="13" t="s">
        <v>65</v>
      </c>
      <c r="C14" s="34">
        <f>(21223.18)/1000</f>
        <v>21.22318</v>
      </c>
      <c r="D14" s="34">
        <f>(185743.04-8527.34)/1000</f>
        <v>177.2157</v>
      </c>
    </row>
    <row r="15" spans="1:4" s="3" customFormat="1" ht="21.75" customHeight="1">
      <c r="A15" s="2"/>
      <c r="B15" s="13" t="s">
        <v>56</v>
      </c>
      <c r="C15" s="34">
        <v>0</v>
      </c>
      <c r="D15" s="34">
        <v>0</v>
      </c>
    </row>
    <row r="16" spans="1:4" s="5" customFormat="1" ht="21.75" customHeight="1">
      <c r="A16" s="4"/>
      <c r="B16" s="12" t="s">
        <v>8</v>
      </c>
      <c r="C16" s="35">
        <f>SUM(C7:C15)</f>
        <v>22550.8015</v>
      </c>
      <c r="D16" s="35">
        <f>SUM(D7:D15)</f>
        <v>25212.22432</v>
      </c>
    </row>
    <row r="17" spans="1:4" s="3" customFormat="1" ht="21.75" customHeight="1">
      <c r="A17" s="2"/>
      <c r="B17" s="12" t="s">
        <v>48</v>
      </c>
      <c r="C17" s="34"/>
      <c r="D17" s="34"/>
    </row>
    <row r="18" spans="1:4" s="3" customFormat="1" ht="21.75" customHeight="1">
      <c r="A18" s="2"/>
      <c r="B18" s="13" t="s">
        <v>81</v>
      </c>
      <c r="C18" s="34">
        <f>(289136.26)/1000</f>
        <v>289.13626</v>
      </c>
      <c r="D18" s="34">
        <f>(197083.34-134998.18)/1000</f>
        <v>62.08516</v>
      </c>
    </row>
    <row r="19" spans="1:4" s="3" customFormat="1" ht="21.75" customHeight="1">
      <c r="A19" s="2"/>
      <c r="B19" s="13" t="s">
        <v>58</v>
      </c>
      <c r="C19" s="34">
        <v>0</v>
      </c>
      <c r="D19" s="34">
        <v>0</v>
      </c>
    </row>
    <row r="20" spans="1:4" s="3" customFormat="1" ht="21.75" customHeight="1">
      <c r="A20" s="2"/>
      <c r="B20" s="13" t="s">
        <v>82</v>
      </c>
      <c r="C20" s="34">
        <f>32602066.11/1000</f>
        <v>32602.06611</v>
      </c>
      <c r="D20" s="34">
        <f>26376733.93/1000</f>
        <v>26376.73393</v>
      </c>
    </row>
    <row r="21" spans="1:4" s="3" customFormat="1" ht="21.75" customHeight="1">
      <c r="A21" s="2"/>
      <c r="B21" s="13" t="s">
        <v>53</v>
      </c>
      <c r="C21" s="34">
        <v>0.1</v>
      </c>
      <c r="D21" s="34">
        <v>0.1</v>
      </c>
    </row>
    <row r="22" spans="1:4" s="3" customFormat="1" ht="21.75" customHeight="1">
      <c r="A22" s="2"/>
      <c r="B22" s="13" t="s">
        <v>57</v>
      </c>
      <c r="C22" s="34">
        <f>(117410.25)/1000</f>
        <v>117.41025</v>
      </c>
      <c r="D22" s="34">
        <f>(134998.18)/1000</f>
        <v>134.99818</v>
      </c>
    </row>
    <row r="23" spans="1:4" s="3" customFormat="1" ht="21.75" customHeight="1">
      <c r="A23" s="2"/>
      <c r="B23" s="13" t="s">
        <v>64</v>
      </c>
      <c r="C23" s="34">
        <f>0/1000</f>
        <v>0</v>
      </c>
      <c r="D23" s="34">
        <f>8527.34/1000</f>
        <v>8.52734</v>
      </c>
    </row>
    <row r="24" spans="1:4" s="3" customFormat="1" ht="21.75" customHeight="1">
      <c r="A24" s="2"/>
      <c r="B24" s="13" t="s">
        <v>56</v>
      </c>
      <c r="C24" s="34">
        <f>0/1000</f>
        <v>0</v>
      </c>
      <c r="D24" s="34">
        <f>(237052.21-184974.93-5421)/1000</f>
        <v>46.656279999999995</v>
      </c>
    </row>
    <row r="25" spans="1:4" s="5" customFormat="1" ht="21.75" customHeight="1">
      <c r="A25" s="4"/>
      <c r="B25" s="12" t="s">
        <v>9</v>
      </c>
      <c r="C25" s="24">
        <f>SUM(C18:C24)</f>
        <v>33008.71262</v>
      </c>
      <c r="D25" s="24">
        <f>SUM(D18:D24)</f>
        <v>26629.100889999994</v>
      </c>
    </row>
    <row r="26" spans="1:4" s="5" customFormat="1" ht="21.75" customHeight="1">
      <c r="A26" s="4"/>
      <c r="B26" s="12" t="s">
        <v>15</v>
      </c>
      <c r="C26" s="32">
        <f>+C16+C25</f>
        <v>55559.51412</v>
      </c>
      <c r="D26" s="32">
        <f>+D16+D25</f>
        <v>51841.325209999995</v>
      </c>
    </row>
    <row r="27" spans="1:4" s="3" customFormat="1" ht="21.75" customHeight="1">
      <c r="A27" s="2"/>
      <c r="B27" s="10" t="s">
        <v>6</v>
      </c>
      <c r="C27" s="23"/>
      <c r="D27" s="23"/>
    </row>
    <row r="28" spans="1:4" s="3" customFormat="1" ht="21.75" customHeight="1">
      <c r="A28" s="2"/>
      <c r="B28" s="12" t="s">
        <v>49</v>
      </c>
      <c r="C28" s="23"/>
      <c r="D28" s="23"/>
    </row>
    <row r="29" spans="1:4" s="3" customFormat="1" ht="21.75" customHeight="1">
      <c r="A29" s="2"/>
      <c r="B29" s="13" t="s">
        <v>60</v>
      </c>
      <c r="C29" s="34">
        <f>(201206.08+145233.63-52898.88)/1000</f>
        <v>293.54082999999997</v>
      </c>
      <c r="D29" s="34">
        <f>(142877.22+263614.52)/1000</f>
        <v>406.49174</v>
      </c>
    </row>
    <row r="30" spans="1:4" s="3" customFormat="1" ht="21.75" customHeight="1">
      <c r="A30" s="2"/>
      <c r="B30" s="13" t="s">
        <v>61</v>
      </c>
      <c r="C30" s="34">
        <v>0</v>
      </c>
      <c r="D30" s="34">
        <v>0</v>
      </c>
    </row>
    <row r="31" spans="1:4" s="3" customFormat="1" ht="21.75" customHeight="1">
      <c r="A31" s="2"/>
      <c r="B31" s="13" t="s">
        <v>62</v>
      </c>
      <c r="C31" s="34">
        <f>9006500.5/1000</f>
        <v>9006.5005</v>
      </c>
      <c r="D31" s="34">
        <f>10393228.59/1000</f>
        <v>10393.22859</v>
      </c>
    </row>
    <row r="32" spans="1:4" s="3" customFormat="1" ht="21.75" customHeight="1">
      <c r="A32" s="2"/>
      <c r="B32" s="13" t="s">
        <v>11</v>
      </c>
      <c r="C32" s="34">
        <f>13175000/1000</f>
        <v>13175</v>
      </c>
      <c r="D32" s="34">
        <f>11500000/1000</f>
        <v>11500</v>
      </c>
    </row>
    <row r="33" spans="1:4" s="3" customFormat="1" ht="21.75" customHeight="1">
      <c r="A33" s="2"/>
      <c r="B33" s="13" t="s">
        <v>10</v>
      </c>
      <c r="C33" s="34">
        <f>158987.11/1000</f>
        <v>158.98710999999997</v>
      </c>
      <c r="D33" s="34">
        <f>418982.81/1000</f>
        <v>418.98281</v>
      </c>
    </row>
    <row r="34" spans="1:4" s="3" customFormat="1" ht="21.75" customHeight="1">
      <c r="A34" s="2"/>
      <c r="B34" s="13" t="s">
        <v>65</v>
      </c>
      <c r="C34" s="34">
        <f>667386.83/1000</f>
        <v>667.3868299999999</v>
      </c>
      <c r="D34" s="34">
        <f>775786.61/1000</f>
        <v>775.78661</v>
      </c>
    </row>
    <row r="35" spans="1:4" s="3" customFormat="1" ht="21.75" customHeight="1">
      <c r="A35" s="2"/>
      <c r="B35" s="13" t="s">
        <v>63</v>
      </c>
      <c r="C35" s="34">
        <f>52898.88/1000</f>
        <v>52.89888</v>
      </c>
      <c r="D35" s="34">
        <f>34109.33/1000</f>
        <v>34.10933</v>
      </c>
    </row>
    <row r="36" spans="1:4" s="3" customFormat="1" ht="21.75" customHeight="1">
      <c r="A36" s="2"/>
      <c r="B36" s="13" t="s">
        <v>66</v>
      </c>
      <c r="C36" s="34"/>
      <c r="D36" s="34"/>
    </row>
    <row r="37" spans="1:4" s="5" customFormat="1" ht="21.75" customHeight="1">
      <c r="A37" s="4"/>
      <c r="B37" s="12" t="s">
        <v>12</v>
      </c>
      <c r="C37" s="35">
        <f>SUM(C29:C36)</f>
        <v>23354.31415</v>
      </c>
      <c r="D37" s="35">
        <f>SUM(D29:D36)</f>
        <v>23528.59908</v>
      </c>
    </row>
    <row r="38" spans="1:4" s="3" customFormat="1" ht="21.75" customHeight="1">
      <c r="A38" s="2"/>
      <c r="B38" s="12" t="s">
        <v>50</v>
      </c>
      <c r="C38" s="34"/>
      <c r="D38" s="34"/>
    </row>
    <row r="39" spans="1:4" s="3" customFormat="1" ht="21.75" customHeight="1">
      <c r="A39" s="2"/>
      <c r="B39" s="13" t="s">
        <v>68</v>
      </c>
      <c r="C39" s="34">
        <f>13283585.1/1000</f>
        <v>13283.5851</v>
      </c>
      <c r="D39" s="34">
        <f>10668453.61/1000</f>
        <v>10668.453609999999</v>
      </c>
    </row>
    <row r="40" spans="1:4" s="3" customFormat="1" ht="21.75" customHeight="1">
      <c r="A40" s="2"/>
      <c r="B40" s="13" t="s">
        <v>10</v>
      </c>
      <c r="C40" s="34">
        <v>0</v>
      </c>
      <c r="D40" s="34">
        <v>0</v>
      </c>
    </row>
    <row r="41" spans="1:4" s="3" customFormat="1" ht="21.75" customHeight="1">
      <c r="A41" s="2"/>
      <c r="B41" s="13" t="s">
        <v>11</v>
      </c>
      <c r="C41" s="34">
        <v>0</v>
      </c>
      <c r="D41" s="34">
        <v>0</v>
      </c>
    </row>
    <row r="42" spans="1:4" s="3" customFormat="1" ht="21.75" customHeight="1">
      <c r="A42" s="2"/>
      <c r="B42" s="13" t="s">
        <v>13</v>
      </c>
      <c r="C42" s="34">
        <v>0</v>
      </c>
      <c r="D42" s="34">
        <v>0</v>
      </c>
    </row>
    <row r="43" spans="1:4" s="3" customFormat="1" ht="21.75" customHeight="1">
      <c r="A43" s="2"/>
      <c r="B43" s="13" t="s">
        <v>64</v>
      </c>
      <c r="C43" s="34">
        <v>0</v>
      </c>
      <c r="D43" s="34">
        <v>0</v>
      </c>
    </row>
    <row r="44" spans="1:4" s="3" customFormat="1" ht="21.75" customHeight="1">
      <c r="A44" s="2"/>
      <c r="B44" s="13" t="s">
        <v>66</v>
      </c>
      <c r="C44" s="34">
        <f>(296697.9)/1000</f>
        <v>296.6979</v>
      </c>
      <c r="D44" s="34">
        <f>(279726.14)/1000</f>
        <v>279.72614</v>
      </c>
    </row>
    <row r="45" spans="1:4" s="3" customFormat="1" ht="21.75" customHeight="1">
      <c r="A45" s="2"/>
      <c r="B45" s="13" t="s">
        <v>63</v>
      </c>
      <c r="C45" s="34"/>
      <c r="D45" s="34"/>
    </row>
    <row r="46" spans="1:4" s="5" customFormat="1" ht="21.75" customHeight="1">
      <c r="A46" s="4"/>
      <c r="B46" s="12" t="s">
        <v>14</v>
      </c>
      <c r="C46" s="24">
        <f>SUM(C39:C45)</f>
        <v>13580.283</v>
      </c>
      <c r="D46" s="24">
        <f>SUM(D39:D45)</f>
        <v>10948.17975</v>
      </c>
    </row>
    <row r="47" spans="1:4" s="5" customFormat="1" ht="21.75" customHeight="1">
      <c r="A47" s="4"/>
      <c r="B47" s="12" t="s">
        <v>16</v>
      </c>
      <c r="C47" s="24">
        <f>+C37+C46</f>
        <v>36934.59715</v>
      </c>
      <c r="D47" s="24">
        <f>+D37+D46</f>
        <v>34476.778829999996</v>
      </c>
    </row>
    <row r="48" spans="1:4" s="3" customFormat="1" ht="21.75" customHeight="1">
      <c r="A48" s="2"/>
      <c r="B48" s="13" t="s">
        <v>17</v>
      </c>
      <c r="C48" s="23"/>
      <c r="D48" s="23"/>
    </row>
    <row r="49" spans="1:4" s="3" customFormat="1" ht="21.75" customHeight="1">
      <c r="A49" s="2"/>
      <c r="B49" s="10" t="s">
        <v>4</v>
      </c>
      <c r="C49" s="23"/>
      <c r="D49" s="23"/>
    </row>
    <row r="50" spans="1:4" s="19" customFormat="1" ht="21.75" customHeight="1">
      <c r="A50" s="18"/>
      <c r="B50" s="13" t="s">
        <v>18</v>
      </c>
      <c r="C50" s="23">
        <f>14700100/1000</f>
        <v>14700.1</v>
      </c>
      <c r="D50" s="23">
        <f>14700100/1000</f>
        <v>14700.1</v>
      </c>
    </row>
    <row r="51" spans="1:4" s="3" customFormat="1" ht="21.75" customHeight="1">
      <c r="A51" s="2"/>
      <c r="B51" s="13" t="s">
        <v>67</v>
      </c>
      <c r="C51" s="23">
        <v>0</v>
      </c>
      <c r="D51" s="23">
        <v>0</v>
      </c>
    </row>
    <row r="52" spans="1:4" s="3" customFormat="1" ht="21.75" customHeight="1">
      <c r="A52" s="2"/>
      <c r="B52" s="13" t="s">
        <v>19</v>
      </c>
      <c r="C52" s="23">
        <f>(1231233.62+189679.38)/1000</f>
        <v>1420.913</v>
      </c>
      <c r="D52" s="23">
        <f>1231233.62/1000</f>
        <v>1231.2336200000002</v>
      </c>
    </row>
    <row r="53" spans="1:4" s="3" customFormat="1" ht="21.75" customHeight="1">
      <c r="A53" s="2"/>
      <c r="B53" s="13" t="s">
        <v>20</v>
      </c>
      <c r="C53" s="23">
        <v>0</v>
      </c>
      <c r="D53" s="23">
        <v>0</v>
      </c>
    </row>
    <row r="54" spans="1:4" s="3" customFormat="1" ht="21.75" customHeight="1">
      <c r="A54" s="2"/>
      <c r="B54" s="13" t="s">
        <v>83</v>
      </c>
      <c r="C54" s="23">
        <v>0</v>
      </c>
      <c r="D54" s="23">
        <v>0</v>
      </c>
    </row>
    <row r="55" spans="1:4" s="3" customFormat="1" ht="21.75" customHeight="1">
      <c r="A55" s="2"/>
      <c r="B55" s="13" t="s">
        <v>21</v>
      </c>
      <c r="C55" s="23">
        <v>0</v>
      </c>
      <c r="D55" s="23">
        <v>0</v>
      </c>
    </row>
    <row r="56" spans="1:4" s="3" customFormat="1" ht="21.75" customHeight="1">
      <c r="A56" s="2"/>
      <c r="B56" s="13" t="s">
        <v>69</v>
      </c>
      <c r="C56" s="23">
        <f>(2316093.18-189679.38)/1000</f>
        <v>2126.4138000000003</v>
      </c>
      <c r="D56" s="23">
        <f>(872731.62)/1000</f>
        <v>872.73162</v>
      </c>
    </row>
    <row r="57" spans="1:4" s="3" customFormat="1" ht="21.75" customHeight="1">
      <c r="A57" s="2"/>
      <c r="B57" s="13" t="s">
        <v>70</v>
      </c>
      <c r="C57" s="23">
        <f>377490.17/1000</f>
        <v>377.49017</v>
      </c>
      <c r="D57" s="23">
        <f>560452.39/1000</f>
        <v>560.45239</v>
      </c>
    </row>
    <row r="58" spans="1:4" s="5" customFormat="1" ht="21.75" customHeight="1">
      <c r="A58" s="4"/>
      <c r="B58" s="12" t="s">
        <v>22</v>
      </c>
      <c r="C58" s="24">
        <f>SUM(C50:C57)</f>
        <v>18624.916970000002</v>
      </c>
      <c r="D58" s="24">
        <f>SUM(D50:D57)</f>
        <v>17364.51763</v>
      </c>
    </row>
    <row r="59" spans="1:6" s="5" customFormat="1" ht="21.75" customHeight="1">
      <c r="A59" s="4"/>
      <c r="B59" s="12" t="s">
        <v>23</v>
      </c>
      <c r="C59" s="24">
        <f>+C47+C58</f>
        <v>55559.51412000001</v>
      </c>
      <c r="D59" s="24">
        <f>+D47+D58</f>
        <v>51841.29646</v>
      </c>
      <c r="E59" s="31">
        <f>+C26-C59</f>
        <v>0</v>
      </c>
      <c r="F59" s="31">
        <f>+D59-D26</f>
        <v>-0.028749999997671694</v>
      </c>
    </row>
    <row r="60" spans="2:4" s="2" customFormat="1" ht="21.75" customHeight="1">
      <c r="B60" s="29" t="s">
        <v>24</v>
      </c>
      <c r="C60" s="30">
        <f>+C4</f>
        <v>2012</v>
      </c>
      <c r="D60" s="30">
        <f>+D4</f>
        <v>2011</v>
      </c>
    </row>
    <row r="61" spans="1:4" s="6" customFormat="1" ht="21.75" customHeight="1">
      <c r="A61" s="2"/>
      <c r="B61" s="12" t="s">
        <v>7</v>
      </c>
      <c r="C61" s="21"/>
      <c r="D61" s="21"/>
    </row>
    <row r="62" spans="1:4" s="7" customFormat="1" ht="21.75" customHeight="1">
      <c r="A62" s="2"/>
      <c r="B62" s="13" t="s">
        <v>71</v>
      </c>
      <c r="C62" s="23">
        <f>1848157.21/1000</f>
        <v>1848.1572099999998</v>
      </c>
      <c r="D62" s="23">
        <f>3466785.48/1000</f>
        <v>3466.78548</v>
      </c>
    </row>
    <row r="63" spans="1:4" s="7" customFormat="1" ht="21.75" customHeight="1">
      <c r="A63" s="2"/>
      <c r="B63" s="13" t="s">
        <v>25</v>
      </c>
      <c r="C63" s="23">
        <v>0</v>
      </c>
      <c r="D63" s="23">
        <v>0</v>
      </c>
    </row>
    <row r="64" spans="1:4" s="7" customFormat="1" ht="21.75" customHeight="1">
      <c r="A64" s="2"/>
      <c r="B64" s="13" t="s">
        <v>26</v>
      </c>
      <c r="C64" s="23"/>
      <c r="D64" s="23"/>
    </row>
    <row r="65" spans="1:4" s="8" customFormat="1" ht="21.75" customHeight="1">
      <c r="A65" s="4"/>
      <c r="B65" s="12" t="s">
        <v>5</v>
      </c>
      <c r="C65" s="24">
        <f>-507482.32/1000</f>
        <v>-507.48232</v>
      </c>
      <c r="D65" s="24">
        <f>-2049955.92/1000</f>
        <v>-2049.95592</v>
      </c>
    </row>
    <row r="66" spans="1:4" s="8" customFormat="1" ht="21.75" customHeight="1">
      <c r="A66" s="4"/>
      <c r="B66" s="12" t="s">
        <v>72</v>
      </c>
      <c r="C66" s="24">
        <f>+C62+C65+C63</f>
        <v>1340.6748899999998</v>
      </c>
      <c r="D66" s="24">
        <f>+D62+D65+D63</f>
        <v>1416.8295600000001</v>
      </c>
    </row>
    <row r="67" spans="1:4" s="8" customFormat="1" ht="21.75" customHeight="1">
      <c r="A67" s="4"/>
      <c r="B67" s="14" t="s">
        <v>26</v>
      </c>
      <c r="C67" s="24"/>
      <c r="D67" s="24"/>
    </row>
    <row r="68" spans="1:4" s="8" customFormat="1" ht="21.75" customHeight="1">
      <c r="A68" s="4"/>
      <c r="B68" s="12" t="s">
        <v>27</v>
      </c>
      <c r="C68" s="24"/>
      <c r="D68" s="24"/>
    </row>
    <row r="69" spans="1:4" s="7" customFormat="1" ht="21.75" customHeight="1">
      <c r="A69" s="2"/>
      <c r="B69" s="13" t="s">
        <v>52</v>
      </c>
      <c r="C69" s="23">
        <v>0</v>
      </c>
      <c r="D69" s="23">
        <v>0</v>
      </c>
    </row>
    <row r="70" spans="1:4" s="7" customFormat="1" ht="21.75" customHeight="1">
      <c r="A70" s="2"/>
      <c r="B70" s="13" t="s">
        <v>28</v>
      </c>
      <c r="C70" s="23">
        <f>(-785786.98+41635.36)/1000</f>
        <v>-744.15162</v>
      </c>
      <c r="D70" s="23">
        <f>-773028.82/1000</f>
        <v>-773.02882</v>
      </c>
    </row>
    <row r="71" spans="1:4" s="7" customFormat="1" ht="21.75" customHeight="1">
      <c r="A71" s="2"/>
      <c r="B71" s="13" t="s">
        <v>73</v>
      </c>
      <c r="C71" s="23">
        <v>0</v>
      </c>
      <c r="D71" s="23">
        <v>0</v>
      </c>
    </row>
    <row r="72" spans="1:4" s="7" customFormat="1" ht="21.75" customHeight="1">
      <c r="A72" s="2"/>
      <c r="B72" s="13" t="s">
        <v>74</v>
      </c>
      <c r="C72" s="23">
        <f>(-41635.36)/1000</f>
        <v>-41.63536</v>
      </c>
      <c r="D72" s="23">
        <f>(-33721.01)/1000</f>
        <v>-33.72101</v>
      </c>
    </row>
    <row r="73" spans="1:4" s="8" customFormat="1" ht="21.75" customHeight="1">
      <c r="A73" s="4"/>
      <c r="B73" s="12" t="s">
        <v>75</v>
      </c>
      <c r="C73" s="24">
        <f>SUM(C66:C72)</f>
        <v>554.8879099999998</v>
      </c>
      <c r="D73" s="24">
        <f>SUM(D66:D72)</f>
        <v>610.0797300000002</v>
      </c>
    </row>
    <row r="74" spans="1:4" s="7" customFormat="1" ht="21.75" customHeight="1">
      <c r="A74" s="2"/>
      <c r="B74" s="13" t="s">
        <v>77</v>
      </c>
      <c r="C74" s="23"/>
      <c r="D74" s="23"/>
    </row>
    <row r="75" spans="1:4" s="7" customFormat="1" ht="21.75" customHeight="1">
      <c r="A75" s="2"/>
      <c r="B75" s="13" t="s">
        <v>76</v>
      </c>
      <c r="C75" s="23">
        <v>0</v>
      </c>
      <c r="D75" s="23">
        <v>0</v>
      </c>
    </row>
    <row r="76" spans="1:4" s="20" customFormat="1" ht="21.75" customHeight="1">
      <c r="A76" s="18"/>
      <c r="B76" s="13" t="s">
        <v>29</v>
      </c>
      <c r="C76" s="23">
        <v>0</v>
      </c>
      <c r="D76" s="23">
        <v>0</v>
      </c>
    </row>
    <row r="77" spans="1:4" s="7" customFormat="1" ht="21.75" customHeight="1">
      <c r="A77" s="2"/>
      <c r="B77" s="13" t="s">
        <v>30</v>
      </c>
      <c r="C77" s="23">
        <v>0</v>
      </c>
      <c r="D77" s="23">
        <v>0</v>
      </c>
    </row>
    <row r="78" spans="1:4" s="8" customFormat="1" ht="21.75" customHeight="1">
      <c r="A78" s="4"/>
      <c r="B78" s="12" t="s">
        <v>78</v>
      </c>
      <c r="C78" s="24">
        <f>SUM(C73:C77)</f>
        <v>554.8879099999998</v>
      </c>
      <c r="D78" s="24">
        <f>SUM(D73:D77)</f>
        <v>610.0797300000002</v>
      </c>
    </row>
    <row r="79" spans="1:4" s="7" customFormat="1" ht="21.75" customHeight="1">
      <c r="A79" s="2"/>
      <c r="B79" s="13" t="s">
        <v>31</v>
      </c>
      <c r="C79" s="23">
        <v>0</v>
      </c>
      <c r="D79" s="23">
        <v>0</v>
      </c>
    </row>
    <row r="80" spans="1:4" s="7" customFormat="1" ht="21.75" customHeight="1">
      <c r="A80" s="2"/>
      <c r="B80" s="13" t="s">
        <v>19</v>
      </c>
      <c r="C80" s="23">
        <v>0</v>
      </c>
      <c r="D80" s="23">
        <v>0</v>
      </c>
    </row>
    <row r="81" spans="1:4" s="7" customFormat="1" ht="21.75" customHeight="1">
      <c r="A81" s="2"/>
      <c r="B81" s="13" t="s">
        <v>32</v>
      </c>
      <c r="C81" s="23">
        <f>-177397.74/1000</f>
        <v>-177.39774</v>
      </c>
      <c r="D81" s="23">
        <f>-49627.34/1000</f>
        <v>-49.62734</v>
      </c>
    </row>
    <row r="82" spans="1:4" s="8" customFormat="1" ht="21.75" customHeight="1">
      <c r="A82" s="4"/>
      <c r="B82" s="12" t="s">
        <v>79</v>
      </c>
      <c r="C82" s="24">
        <f>SUM(C78:C81)</f>
        <v>377.4901699999998</v>
      </c>
      <c r="D82" s="24">
        <f>SUM(D78:D81)</f>
        <v>560.4523900000002</v>
      </c>
    </row>
    <row r="83" spans="2:4" s="2" customFormat="1" ht="21.75" customHeight="1">
      <c r="B83" s="29" t="s">
        <v>33</v>
      </c>
      <c r="C83" s="30">
        <f>+C4</f>
        <v>2012</v>
      </c>
      <c r="D83" s="30">
        <f>+D4</f>
        <v>2011</v>
      </c>
    </row>
    <row r="84" spans="2:4" s="2" customFormat="1" ht="21.75" customHeight="1">
      <c r="B84" s="12" t="s">
        <v>34</v>
      </c>
      <c r="C84" s="22"/>
      <c r="D84" s="22"/>
    </row>
    <row r="85" spans="2:4" s="2" customFormat="1" ht="21.75" customHeight="1">
      <c r="B85" s="13" t="s">
        <v>35</v>
      </c>
      <c r="C85" s="25">
        <f>+C16/C37</f>
        <v>0.9655946800732748</v>
      </c>
      <c r="D85" s="25">
        <f>+D16/D37</f>
        <v>1.0715565441986359</v>
      </c>
    </row>
    <row r="86" spans="2:4" s="2" customFormat="1" ht="21.75" customHeight="1">
      <c r="B86" s="12" t="s">
        <v>36</v>
      </c>
      <c r="C86" s="25"/>
      <c r="D86" s="25"/>
    </row>
    <row r="87" spans="2:4" s="2" customFormat="1" ht="21.75" customHeight="1">
      <c r="B87" s="13" t="s">
        <v>39</v>
      </c>
      <c r="C87" s="25">
        <f>+C47/C58</f>
        <v>1.9830744593112672</v>
      </c>
      <c r="D87" s="25">
        <f>+D47/D58</f>
        <v>1.9854728800779247</v>
      </c>
    </row>
    <row r="88" spans="2:4" s="2" customFormat="1" ht="21.75" customHeight="1">
      <c r="B88" s="12" t="s">
        <v>37</v>
      </c>
      <c r="C88" s="25"/>
      <c r="D88" s="25"/>
    </row>
    <row r="89" spans="2:4" s="2" customFormat="1" ht="21.75" customHeight="1">
      <c r="B89" s="13" t="s">
        <v>38</v>
      </c>
      <c r="C89" s="25">
        <f>+C82/(C58-C57)</f>
        <v>0.020687309730706784</v>
      </c>
      <c r="D89" s="25">
        <f>+D82/(D58-D57)</f>
        <v>0.03335219079404146</v>
      </c>
    </row>
    <row r="90" spans="2:4" s="2" customFormat="1" ht="21.75" customHeight="1">
      <c r="B90" s="12" t="s">
        <v>40</v>
      </c>
      <c r="C90" s="25"/>
      <c r="D90" s="25"/>
    </row>
    <row r="91" spans="2:4" s="2" customFormat="1" ht="21.75" customHeight="1">
      <c r="B91" s="13" t="s">
        <v>41</v>
      </c>
      <c r="C91" s="25">
        <f>+C57/C26</f>
        <v>0.0067943389350864246</v>
      </c>
      <c r="D91" s="25">
        <f>+D57/D26</f>
        <v>0.010810919430197956</v>
      </c>
    </row>
    <row r="92" spans="2:4" s="2" customFormat="1" ht="21.75" customHeight="1">
      <c r="B92" s="12" t="s">
        <v>42</v>
      </c>
      <c r="C92" s="25"/>
      <c r="D92" s="25"/>
    </row>
    <row r="93" spans="2:4" s="2" customFormat="1" ht="21.75" customHeight="1">
      <c r="B93" s="13" t="s">
        <v>43</v>
      </c>
      <c r="C93" s="25">
        <f>+C57/C50</f>
        <v>0.025679428711369308</v>
      </c>
      <c r="D93" s="25">
        <f>+D57/D50</f>
        <v>0.038125753566302274</v>
      </c>
    </row>
    <row r="94" spans="2:4" s="2" customFormat="1" ht="21.75" customHeight="1">
      <c r="B94" s="13" t="s">
        <v>44</v>
      </c>
      <c r="C94" s="25">
        <f>(+C56+C57)/C50</f>
        <v>0.17033244467724712</v>
      </c>
      <c r="D94" s="25">
        <f>(+D56+D57)/D50</f>
        <v>0.09749484765409759</v>
      </c>
    </row>
    <row r="95" spans="2:4" s="2" customFormat="1" ht="21.75" customHeight="1">
      <c r="B95" s="12" t="s">
        <v>45</v>
      </c>
      <c r="C95" s="25">
        <v>100</v>
      </c>
      <c r="D95" s="25">
        <v>100</v>
      </c>
    </row>
    <row r="96" spans="2:4" s="2" customFormat="1" ht="21.75" customHeight="1">
      <c r="B96" s="15" t="s">
        <v>46</v>
      </c>
      <c r="C96" s="26">
        <f>18624916.97/147001</f>
        <v>126.6992535424929</v>
      </c>
      <c r="D96" s="26">
        <f>17364517.63/147001</f>
        <v>118.12516669954626</v>
      </c>
    </row>
    <row r="97" ht="12" customHeight="1"/>
    <row r="98" ht="12.75"/>
    <row r="99" ht="12.75"/>
    <row r="100" spans="3:4" ht="12.75">
      <c r="C100" s="36"/>
      <c r="D100" s="36"/>
    </row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</sheetData>
  <sheetProtection/>
  <protectedRanges>
    <protectedRange password="C594" sqref="B2" name="Rango11_1"/>
    <protectedRange password="C594" sqref="C8:D8" name="Rango1_1"/>
    <protectedRange password="C594" sqref="C56:D56" name="Rango1_5"/>
  </protectedRanges>
  <mergeCells count="3">
    <mergeCell ref="B3:D3"/>
    <mergeCell ref="B2:D2"/>
    <mergeCell ref="B1:D1"/>
  </mergeCells>
  <printOptions horizontalCentered="1"/>
  <pageMargins left="0.5905511811023623" right="0.5905511811023623" top="0.53" bottom="0.5905511811023623" header="0.15748031496062992" footer="0.5511811023622047"/>
  <pageSetup fitToWidth="2" horizontalDpi="300" verticalDpi="300" orientation="portrait" scale="70" r:id="rId2"/>
  <rowBreaks count="1" manualBreakCount="1">
    <brk id="59" min="1" max="2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dibalmore</dc:creator>
  <cp:keywords/>
  <dc:description/>
  <cp:lastModifiedBy>user</cp:lastModifiedBy>
  <cp:lastPrinted>2013-01-29T20:47:23Z</cp:lastPrinted>
  <dcterms:created xsi:type="dcterms:W3CDTF">2003-09-25T21:59:06Z</dcterms:created>
  <dcterms:modified xsi:type="dcterms:W3CDTF">2017-01-25T21:19:56Z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923066065</vt:i4>
  </property>
  <property fmtid="{D5CDD505-2E9C-101B-9397-08002B2CF9AE}" pid="3" name="_NewReviewCycle">
    <vt:lpwstr/>
  </property>
  <property fmtid="{D5CDD505-2E9C-101B-9397-08002B2CF9AE}" pid="4" name="_EmailSubject">
    <vt:lpwstr>Copia de Plantilla EEFF.xls</vt:lpwstr>
  </property>
  <property fmtid="{D5CDD505-2E9C-101B-9397-08002B2CF9AE}" pid="5" name="_AuthorEmail">
    <vt:lpwstr>aumana@crediq.com</vt:lpwstr>
  </property>
  <property fmtid="{D5CDD505-2E9C-101B-9397-08002B2CF9AE}" pid="6" name="_AuthorEmailDisplayName">
    <vt:lpwstr>Adrian Umaña</vt:lpwstr>
  </property>
  <property fmtid="{D5CDD505-2E9C-101B-9397-08002B2CF9AE}" pid="7" name="_ReviewingToolsShownOnce">
    <vt:lpwstr/>
  </property>
</Properties>
</file>